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pishevaNYU\Desktop\Удаленка\2 НПФ\Разъяснения\"/>
    </mc:Choice>
  </mc:AlternateContent>
  <bookViews>
    <workbookView xWindow="0" yWindow="0" windowWidth="28800" windowHeight="11835"/>
  </bookViews>
  <sheets>
    <sheet name="расчет дюрации" sheetId="2" r:id="rId1"/>
    <sheet name="СРВЗВ" sheetId="3" r:id="rId2"/>
    <sheet name="доходность" sheetId="4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3" l="1"/>
  <c r="F24" i="3"/>
  <c r="I20" i="3"/>
  <c r="H20" i="3"/>
  <c r="G20" i="3"/>
  <c r="F20" i="3"/>
  <c r="E20" i="3"/>
  <c r="G14" i="2"/>
  <c r="F14" i="2"/>
  <c r="E13" i="2"/>
  <c r="C15" i="2"/>
  <c r="C14" i="2"/>
  <c r="C13" i="2"/>
  <c r="B13" i="2"/>
  <c r="M8" i="4" l="1"/>
  <c r="M5" i="4"/>
  <c r="M6" i="4"/>
  <c r="M7" i="4"/>
  <c r="M4" i="4"/>
  <c r="L8" i="4"/>
  <c r="L7" i="4"/>
  <c r="L6" i="4"/>
  <c r="L5" i="4"/>
  <c r="L4" i="4"/>
  <c r="K8" i="4"/>
  <c r="K4" i="4"/>
  <c r="I8" i="4"/>
  <c r="J8" i="4"/>
  <c r="H8" i="4"/>
  <c r="K6" i="4"/>
  <c r="K7" i="4"/>
  <c r="I7" i="4"/>
  <c r="J7" i="4"/>
  <c r="H7" i="4"/>
  <c r="I5" i="4"/>
  <c r="J5" i="4"/>
  <c r="H5" i="4"/>
  <c r="J4" i="4"/>
  <c r="I4" i="4"/>
  <c r="C8" i="4"/>
  <c r="D8" i="4"/>
  <c r="E8" i="4"/>
  <c r="B8" i="4"/>
  <c r="F8" i="4"/>
  <c r="F5" i="4"/>
  <c r="F6" i="4"/>
  <c r="F7" i="4"/>
  <c r="F4" i="4"/>
  <c r="B5" i="4"/>
  <c r="C5" i="4"/>
  <c r="E24" i="3"/>
  <c r="D24" i="3"/>
  <c r="M24" i="3"/>
  <c r="E30" i="3"/>
  <c r="D29" i="3"/>
  <c r="C4" i="4"/>
  <c r="D4" i="4"/>
  <c r="Y62" i="3"/>
  <c r="Y14" i="3"/>
  <c r="V62" i="3"/>
  <c r="V14" i="3"/>
  <c r="E48" i="3"/>
  <c r="H48" i="3"/>
  <c r="F73" i="3"/>
  <c r="G73" i="3" s="1"/>
  <c r="F61" i="3"/>
  <c r="G61" i="3" s="1"/>
  <c r="H61" i="3"/>
  <c r="D54" i="3"/>
  <c r="E60" i="3" s="1"/>
  <c r="F49" i="3"/>
  <c r="G49" i="3" s="1"/>
  <c r="S14" i="3"/>
  <c r="D30" i="3"/>
  <c r="N20" i="3"/>
  <c r="C30" i="3"/>
  <c r="F30" i="3"/>
  <c r="G30" i="3" s="1"/>
  <c r="P14" i="3"/>
  <c r="C13" i="3"/>
  <c r="E13" i="3" s="1"/>
  <c r="H13" i="3" s="1"/>
  <c r="F13" i="3"/>
  <c r="G70" i="3"/>
  <c r="G68" i="3"/>
  <c r="G44" i="3"/>
  <c r="G43" i="3"/>
  <c r="F19" i="3"/>
  <c r="F70" i="3"/>
  <c r="H70" i="3"/>
  <c r="F41" i="3"/>
  <c r="G41" i="3" s="1"/>
  <c r="I41" i="3" s="1"/>
  <c r="H41" i="3"/>
  <c r="F39" i="3"/>
  <c r="G39" i="3" s="1"/>
  <c r="F68" i="3"/>
  <c r="F44" i="3"/>
  <c r="F43" i="3"/>
  <c r="F56" i="3"/>
  <c r="G56" i="3" s="1"/>
  <c r="F29" i="3"/>
  <c r="G29" i="3" s="1"/>
  <c r="F37" i="3"/>
  <c r="G37" i="3" s="1"/>
  <c r="F3" i="3"/>
  <c r="G13" i="3" s="1"/>
  <c r="K5" i="4" l="1"/>
  <c r="I61" i="3"/>
  <c r="I70" i="3"/>
  <c r="H30" i="3"/>
  <c r="I30" i="3" s="1"/>
  <c r="I13" i="3"/>
  <c r="G24" i="3"/>
  <c r="F25" i="3"/>
  <c r="G25" i="3" s="1"/>
  <c r="F72" i="3" l="1"/>
  <c r="G72" i="3" s="1"/>
  <c r="E72" i="3"/>
  <c r="H72" i="3" s="1"/>
  <c r="F60" i="3"/>
  <c r="G60" i="3" s="1"/>
  <c r="H60" i="3"/>
  <c r="P62" i="3" s="1"/>
  <c r="H56" i="3"/>
  <c r="F48" i="3"/>
  <c r="G48" i="3" s="1"/>
  <c r="H37" i="3"/>
  <c r="F12" i="3"/>
  <c r="F8" i="3"/>
  <c r="F7" i="3"/>
  <c r="E12" i="3"/>
  <c r="H12" i="3" s="1"/>
  <c r="E8" i="3"/>
  <c r="H8" i="3" s="1"/>
  <c r="E7" i="3"/>
  <c r="H7" i="3" s="1"/>
  <c r="G3" i="3"/>
  <c r="E3" i="3"/>
  <c r="E68" i="3" s="1"/>
  <c r="H17" i="2"/>
  <c r="F17" i="2"/>
  <c r="G16" i="2"/>
  <c r="G15" i="2"/>
  <c r="F15" i="2"/>
  <c r="F16" i="2"/>
  <c r="D14" i="2"/>
  <c r="D15" i="2"/>
  <c r="D16" i="2"/>
  <c r="D13" i="2"/>
  <c r="C16" i="2"/>
  <c r="A13" i="2"/>
  <c r="H3" i="3" l="1"/>
  <c r="I3" i="3" s="1"/>
  <c r="H68" i="3"/>
  <c r="E29" i="3"/>
  <c r="H29" i="3" s="1"/>
  <c r="D25" i="3"/>
  <c r="E25" i="3" s="1"/>
  <c r="E39" i="3"/>
  <c r="H39" i="3" s="1"/>
  <c r="I39" i="3" s="1"/>
  <c r="I37" i="3"/>
  <c r="I48" i="3"/>
  <c r="I56" i="3"/>
  <c r="I60" i="3"/>
  <c r="I72" i="3"/>
  <c r="G12" i="3"/>
  <c r="I12" i="3" s="1"/>
  <c r="G7" i="3"/>
  <c r="I7" i="3" s="1"/>
  <c r="G8" i="3"/>
  <c r="I8" i="3" s="1"/>
  <c r="E15" i="2"/>
  <c r="E14" i="2"/>
  <c r="E16" i="2"/>
  <c r="H25" i="3" l="1"/>
  <c r="I25" i="3" s="1"/>
  <c r="E44" i="3"/>
  <c r="H44" i="3" s="1"/>
  <c r="I44" i="3" s="1"/>
  <c r="H24" i="3"/>
  <c r="E43" i="3"/>
  <c r="I68" i="3"/>
  <c r="I74" i="3" s="1"/>
  <c r="I14" i="3"/>
  <c r="I29" i="3"/>
  <c r="I62" i="3"/>
  <c r="S62" i="3" s="1"/>
  <c r="E17" i="2"/>
  <c r="H43" i="3" l="1"/>
  <c r="I43" i="3" s="1"/>
  <c r="I50" i="3" s="1"/>
  <c r="E49" i="3"/>
  <c r="P31" i="3"/>
  <c r="I31" i="3"/>
  <c r="G17" i="2"/>
  <c r="J74" i="3" l="1"/>
  <c r="V31" i="3"/>
  <c r="V50" i="3"/>
  <c r="S31" i="3"/>
  <c r="Y31" i="3" s="1"/>
  <c r="E73" i="3"/>
  <c r="H73" i="3" s="1"/>
  <c r="H49" i="3"/>
  <c r="V74" i="3" l="1"/>
  <c r="P50" i="3"/>
  <c r="S50" i="3" s="1"/>
  <c r="Y50" i="3" s="1"/>
  <c r="Y74" i="3" s="1"/>
  <c r="I49" i="3"/>
  <c r="P74" i="3"/>
  <c r="S74" i="3" s="1"/>
  <c r="I73" i="3"/>
</calcChain>
</file>

<file path=xl/sharedStrings.xml><?xml version="1.0" encoding="utf-8"?>
<sst xmlns="http://schemas.openxmlformats.org/spreadsheetml/2006/main" count="185" uniqueCount="73">
  <si>
    <t>Дата</t>
  </si>
  <si>
    <t>RU000A100AB2</t>
  </si>
  <si>
    <t>ИКС 5 Финанс-001P-05-боб</t>
  </si>
  <si>
    <t>ISIN</t>
  </si>
  <si>
    <t>Наименование</t>
  </si>
  <si>
    <t>Доходность к оферте (Y)</t>
  </si>
  <si>
    <t>Текущая цена (чистая, P)</t>
  </si>
  <si>
    <t>Текущая цена (грязная, P')</t>
  </si>
  <si>
    <r>
      <t>Коэффициент дисконтирования 1/((1+Y)^((t</t>
    </r>
    <r>
      <rPr>
        <vertAlign val="subscript"/>
        <sz val="11"/>
        <color theme="1"/>
        <rFont val="Calibri"/>
        <family val="2"/>
        <charset val="204"/>
        <scheme val="minor"/>
      </rPr>
      <t>i</t>
    </r>
    <r>
      <rPr>
        <sz val="11"/>
        <color theme="1"/>
        <rFont val="Calibri"/>
        <family val="2"/>
        <charset val="204"/>
        <scheme val="minor"/>
      </rPr>
      <t>−t</t>
    </r>
    <r>
      <rPr>
        <vertAlign val="subscript"/>
        <sz val="11"/>
        <color theme="1"/>
        <rFont val="Calibri"/>
        <family val="2"/>
        <charset val="204"/>
        <scheme val="minor"/>
      </rPr>
      <t>0</t>
    </r>
    <r>
      <rPr>
        <sz val="11"/>
        <color theme="1"/>
        <rFont val="Calibri"/>
        <family val="2"/>
        <charset val="204"/>
        <scheme val="minor"/>
      </rPr>
      <t>)/T))</t>
    </r>
  </si>
  <si>
    <t>База расчета (T)</t>
  </si>
  <si>
    <r>
      <t>Дата расчета (t</t>
    </r>
    <r>
      <rPr>
        <vertAlign val="subscript"/>
        <sz val="11"/>
        <color theme="1"/>
        <rFont val="Calibri"/>
        <family val="2"/>
        <charset val="204"/>
        <scheme val="minor"/>
      </rPr>
      <t>0</t>
    </r>
    <r>
      <rPr>
        <sz val="11"/>
        <color theme="1"/>
        <rFont val="Calibri"/>
        <family val="2"/>
        <charset val="204"/>
        <scheme val="minor"/>
      </rPr>
      <t>)</t>
    </r>
  </si>
  <si>
    <r>
      <t>Денежный поток (C</t>
    </r>
    <r>
      <rPr>
        <vertAlign val="subscript"/>
        <sz val="11"/>
        <color theme="1"/>
        <rFont val="Calibri"/>
        <family val="2"/>
        <charset val="204"/>
        <scheme val="minor"/>
      </rPr>
      <t>i</t>
    </r>
    <r>
      <rPr>
        <sz val="11"/>
        <color theme="1"/>
        <rFont val="Calibri"/>
        <family val="2"/>
        <charset val="204"/>
        <scheme val="minor"/>
      </rPr>
      <t>+N</t>
    </r>
    <r>
      <rPr>
        <vertAlign val="subscript"/>
        <sz val="11"/>
        <color theme="1"/>
        <rFont val="Calibri"/>
        <family val="2"/>
        <charset val="204"/>
        <scheme val="minor"/>
      </rPr>
      <t>i</t>
    </r>
    <r>
      <rPr>
        <sz val="11"/>
        <color theme="1"/>
        <rFont val="Calibri"/>
        <family val="2"/>
        <charset val="204"/>
        <scheme val="minor"/>
      </rPr>
      <t>)</t>
    </r>
  </si>
  <si>
    <t>Дисконтированнный денежный поток
(2 * 4)</t>
  </si>
  <si>
    <t>Доля потока в общей оценке
(5 / P')</t>
  </si>
  <si>
    <t>Расчет дюрации
(6 * 3)</t>
  </si>
  <si>
    <r>
      <t>Срок денежного потока (t</t>
    </r>
    <r>
      <rPr>
        <vertAlign val="subscript"/>
        <sz val="11"/>
        <color theme="1"/>
        <rFont val="Calibri"/>
        <family val="2"/>
        <charset val="204"/>
        <scheme val="minor"/>
      </rPr>
      <t>i</t>
    </r>
    <r>
      <rPr>
        <sz val="11"/>
        <color theme="1"/>
        <rFont val="Calibri"/>
        <family val="2"/>
        <charset val="204"/>
        <scheme val="minor"/>
      </rPr>
      <t>−t</t>
    </r>
    <r>
      <rPr>
        <vertAlign val="subscript"/>
        <sz val="11"/>
        <color theme="1"/>
        <rFont val="Calibri"/>
        <family val="2"/>
        <charset val="204"/>
        <scheme val="minor"/>
      </rPr>
      <t>0</t>
    </r>
    <r>
      <rPr>
        <sz val="11"/>
        <color theme="1"/>
        <rFont val="Calibri"/>
        <family val="2"/>
        <charset val="204"/>
        <scheme val="minor"/>
      </rPr>
      <t>)</t>
    </r>
  </si>
  <si>
    <t>Действие</t>
  </si>
  <si>
    <t>Цена (руб.)</t>
  </si>
  <si>
    <t>Кол-во (шт.)</t>
  </si>
  <si>
    <t>Стоимость (руб.)</t>
  </si>
  <si>
    <r>
      <t>Дней в работе (</t>
    </r>
    <r>
      <rPr>
        <sz val="11"/>
        <color rgb="FFC00000"/>
        <rFont val="Calibri"/>
        <family val="2"/>
        <charset val="204"/>
        <scheme val="minor"/>
      </rPr>
      <t>дней в изъятии до конца отчетного периода</t>
    </r>
    <r>
      <rPr>
        <sz val="11"/>
        <color theme="1"/>
        <rFont val="Calibri"/>
        <family val="2"/>
        <charset val="204"/>
        <scheme val="minor"/>
      </rPr>
      <t>)</t>
    </r>
  </si>
  <si>
    <t>(входящий остаток)</t>
  </si>
  <si>
    <t>…</t>
  </si>
  <si>
    <t>Нет покупок / продаж</t>
  </si>
  <si>
    <t>Продажа актива</t>
  </si>
  <si>
    <t>Покупка актива</t>
  </si>
  <si>
    <t>Пример 1 (акция)</t>
  </si>
  <si>
    <t>СРВЗВ</t>
  </si>
  <si>
    <t>Поток
("+" - вводы, "-" - выводы)</t>
  </si>
  <si>
    <t>Дней в работе (% от общего количества дней в периоде)</t>
  </si>
  <si>
    <t>Пример 2 (облигация)</t>
  </si>
  <si>
    <t>Пример 3 (ДС)</t>
  </si>
  <si>
    <t>Стоимость  / сумма сделки (руб.)</t>
  </si>
  <si>
    <t>дюрация бесконечной облигации</t>
  </si>
  <si>
    <t>D = 1 + 1/Y (лет)</t>
  </si>
  <si>
    <t>P = C/Y</t>
  </si>
  <si>
    <t>С - купон</t>
  </si>
  <si>
    <t>Пример 4 (Депозит)</t>
  </si>
  <si>
    <t>Пример 5 (Портфель)</t>
  </si>
  <si>
    <t>Стоимость  / сумма сделки (руб.) с НКД</t>
  </si>
  <si>
    <t>если в Фонде есть методика прогнозирования номинала, используем</t>
  </si>
  <si>
    <t>Нет - пролонгируем номинал, известный на день расчета</t>
  </si>
  <si>
    <t>Погашение депозита</t>
  </si>
  <si>
    <t>открыт 31/12/2019 закрыт 30/06/2020</t>
  </si>
  <si>
    <t xml:space="preserve"> </t>
  </si>
  <si>
    <t>Нет пополнений/погашений</t>
  </si>
  <si>
    <t>частичное погашение (10%)+выплата купона</t>
  </si>
  <si>
    <t>покупка облигации</t>
  </si>
  <si>
    <t>частич погаш обл (10%)+выплата купона+продажа акции</t>
  </si>
  <si>
    <t>Вывод из портфеля</t>
  </si>
  <si>
    <t>(исходящий остаток)</t>
  </si>
  <si>
    <t>Доход</t>
  </si>
  <si>
    <t>Доходность</t>
  </si>
  <si>
    <t>Продажа актива+погашение депозита</t>
  </si>
  <si>
    <t>Доля в СРВЗВ</t>
  </si>
  <si>
    <t>Вклад в доходность</t>
  </si>
  <si>
    <t>Процентные доходы</t>
  </si>
  <si>
    <t>Доходы от переоценки</t>
  </si>
  <si>
    <t>Доходы от продажи, погашения</t>
  </si>
  <si>
    <t>Прочие доходы</t>
  </si>
  <si>
    <t>акции</t>
  </si>
  <si>
    <t>облигации</t>
  </si>
  <si>
    <t>ДС</t>
  </si>
  <si>
    <t>Депозит</t>
  </si>
  <si>
    <t>Вывод:</t>
  </si>
  <si>
    <t>Самые доходные из портфеля оказались акции. Но наибольший вклад в доходность принес депозит</t>
  </si>
  <si>
    <t>Вклад в доходность, %</t>
  </si>
  <si>
    <t>Доходы, рубли</t>
  </si>
  <si>
    <t>P - цена облигации</t>
  </si>
  <si>
    <t>Для облигации с индексируемым номиналом:</t>
  </si>
  <si>
    <t>Доходы, всего</t>
  </si>
  <si>
    <t>Итого</t>
  </si>
  <si>
    <t>СРВЗВ 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</si>
</sst>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%"/>
    <numFmt numFmtId="165" formatCode="#,##0.000"/>
    <numFmt numFmtId="166" formatCode="#,##0.0000"/>
    <numFmt numFmtId="167" formatCode="0.0%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vertAlign val="subscript"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14" fontId="0" fillId="0" borderId="0" xfId="0" applyNumberFormat="1"/>
    <xf numFmtId="10" fontId="0" fillId="0" borderId="0" xfId="0" applyNumberFormat="1"/>
    <xf numFmtId="4" fontId="0" fillId="0" borderId="0" xfId="0" applyNumberFormat="1"/>
    <xf numFmtId="9" fontId="0" fillId="0" borderId="0" xfId="0" applyNumberFormat="1"/>
    <xf numFmtId="164" fontId="0" fillId="0" borderId="0" xfId="0" applyNumberFormat="1"/>
    <xf numFmtId="3" fontId="0" fillId="0" borderId="0" xfId="0" applyNumberFormat="1"/>
    <xf numFmtId="0" fontId="2" fillId="0" borderId="0" xfId="0" applyFont="1"/>
    <xf numFmtId="165" fontId="0" fillId="0" borderId="0" xfId="0" applyNumberFormat="1"/>
    <xf numFmtId="0" fontId="0" fillId="0" borderId="0" xfId="0" applyAlignment="1">
      <alignment wrapText="1"/>
    </xf>
    <xf numFmtId="166" fontId="0" fillId="0" borderId="0" xfId="0" applyNumberFormat="1"/>
    <xf numFmtId="0" fontId="0" fillId="0" borderId="1" xfId="0" applyBorder="1"/>
    <xf numFmtId="4" fontId="0" fillId="0" borderId="1" xfId="0" applyNumberFormat="1" applyFont="1" applyBorder="1"/>
    <xf numFmtId="10" fontId="1" fillId="0" borderId="1" xfId="1" applyNumberFormat="1" applyFont="1" applyBorder="1"/>
    <xf numFmtId="3" fontId="2" fillId="0" borderId="1" xfId="0" applyNumberFormat="1" applyFont="1" applyBorder="1"/>
    <xf numFmtId="3" fontId="4" fillId="0" borderId="1" xfId="0" applyNumberFormat="1" applyFont="1" applyBorder="1"/>
    <xf numFmtId="0" fontId="0" fillId="2" borderId="3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9" fontId="0" fillId="0" borderId="7" xfId="1" applyFon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0" fontId="0" fillId="2" borderId="11" xfId="0" applyFill="1" applyBorder="1" applyAlignment="1">
      <alignment horizontal="center"/>
    </xf>
    <xf numFmtId="4" fontId="0" fillId="2" borderId="4" xfId="0" applyNumberFormat="1" applyFill="1" applyBorder="1" applyAlignment="1">
      <alignment horizontal="center"/>
    </xf>
    <xf numFmtId="14" fontId="0" fillId="0" borderId="2" xfId="0" applyNumberForma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" xfId="0" applyBorder="1" applyAlignment="1">
      <alignment horizontal="center"/>
    </xf>
    <xf numFmtId="9" fontId="0" fillId="0" borderId="3" xfId="1" applyFon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9" fontId="0" fillId="0" borderId="5" xfId="1" applyFon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4" fontId="4" fillId="0" borderId="0" xfId="0" applyNumberFormat="1" applyFont="1"/>
    <xf numFmtId="0" fontId="7" fillId="0" borderId="0" xfId="0" applyFont="1" applyAlignment="1">
      <alignment horizontal="right"/>
    </xf>
    <xf numFmtId="3" fontId="0" fillId="0" borderId="7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3" borderId="7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4" fontId="0" fillId="3" borderId="8" xfId="0" applyNumberFormat="1" applyFill="1" applyBorder="1" applyAlignment="1">
      <alignment horizontal="center"/>
    </xf>
    <xf numFmtId="4" fontId="0" fillId="3" borderId="3" xfId="0" applyNumberFormat="1" applyFill="1" applyBorder="1" applyAlignment="1">
      <alignment horizontal="center"/>
    </xf>
    <xf numFmtId="4" fontId="0" fillId="2" borderId="3" xfId="0" applyNumberFormat="1" applyFill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7" xfId="0" applyNumberFormat="1" applyFill="1" applyBorder="1" applyAlignment="1">
      <alignment horizontal="center"/>
    </xf>
    <xf numFmtId="4" fontId="0" fillId="0" borderId="3" xfId="0" applyNumberFormat="1" applyFill="1" applyBorder="1" applyAlignment="1">
      <alignment horizontal="center"/>
    </xf>
    <xf numFmtId="167" fontId="4" fillId="0" borderId="0" xfId="1" applyNumberFormat="1" applyFont="1"/>
    <xf numFmtId="14" fontId="8" fillId="0" borderId="0" xfId="0" applyNumberFormat="1" applyFont="1"/>
    <xf numFmtId="0" fontId="0" fillId="0" borderId="13" xfId="0" applyBorder="1"/>
    <xf numFmtId="0" fontId="0" fillId="0" borderId="14" xfId="0" applyBorder="1"/>
    <xf numFmtId="167" fontId="0" fillId="0" borderId="0" xfId="1" applyNumberFormat="1" applyFont="1" applyBorder="1"/>
    <xf numFmtId="167" fontId="0" fillId="0" borderId="1" xfId="1" applyNumberFormat="1" applyFont="1" applyBorder="1"/>
    <xf numFmtId="167" fontId="0" fillId="0" borderId="15" xfId="1" applyNumberFormat="1" applyFont="1" applyBorder="1"/>
    <xf numFmtId="9" fontId="0" fillId="0" borderId="15" xfId="1" applyFont="1" applyBorder="1"/>
    <xf numFmtId="167" fontId="0" fillId="0" borderId="15" xfId="0" applyNumberFormat="1" applyBorder="1"/>
    <xf numFmtId="9" fontId="0" fillId="4" borderId="15" xfId="1" applyFont="1" applyFill="1" applyBorder="1"/>
    <xf numFmtId="167" fontId="0" fillId="3" borderId="16" xfId="1" applyNumberFormat="1" applyFont="1" applyFill="1" applyBorder="1"/>
    <xf numFmtId="9" fontId="0" fillId="0" borderId="16" xfId="0" applyNumberFormat="1" applyBorder="1"/>
    <xf numFmtId="167" fontId="0" fillId="5" borderId="16" xfId="0" applyNumberFormat="1" applyFill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6"/>
  <sheetViews>
    <sheetView tabSelected="1" workbookViewId="0">
      <selection activeCell="A32" sqref="A32"/>
    </sheetView>
  </sheetViews>
  <sheetFormatPr defaultRowHeight="15" x14ac:dyDescent="0.25"/>
  <cols>
    <col min="1" max="1" width="25.28515625" bestFit="1" customWidth="1"/>
    <col min="2" max="2" width="32.5703125" customWidth="1"/>
    <col min="3" max="7" width="20" customWidth="1"/>
    <col min="11" max="11" width="10.140625" bestFit="1" customWidth="1"/>
    <col min="14" max="14" width="12.140625" bestFit="1" customWidth="1"/>
    <col min="15" max="15" width="10" bestFit="1" customWidth="1"/>
  </cols>
  <sheetData>
    <row r="2" spans="1:7" x14ac:dyDescent="0.25">
      <c r="A2" t="s">
        <v>3</v>
      </c>
      <c r="B2" s="7" t="s">
        <v>1</v>
      </c>
    </row>
    <row r="3" spans="1:7" x14ac:dyDescent="0.25">
      <c r="A3" t="s">
        <v>4</v>
      </c>
      <c r="B3" s="7" t="s">
        <v>2</v>
      </c>
    </row>
    <row r="5" spans="1:7" ht="18" x14ac:dyDescent="0.35">
      <c r="A5" t="s">
        <v>10</v>
      </c>
      <c r="B5" s="1">
        <v>44277</v>
      </c>
    </row>
    <row r="6" spans="1:7" x14ac:dyDescent="0.25">
      <c r="A6" t="s">
        <v>9</v>
      </c>
      <c r="B6" s="6">
        <v>365</v>
      </c>
    </row>
    <row r="7" spans="1:7" x14ac:dyDescent="0.25">
      <c r="A7" t="s">
        <v>5</v>
      </c>
      <c r="B7" s="5">
        <v>6.5921174725210391E-2</v>
      </c>
    </row>
    <row r="8" spans="1:7" x14ac:dyDescent="0.25">
      <c r="A8" t="s">
        <v>6</v>
      </c>
      <c r="B8">
        <v>102</v>
      </c>
    </row>
    <row r="9" spans="1:7" x14ac:dyDescent="0.25">
      <c r="A9" t="s">
        <v>7</v>
      </c>
      <c r="B9">
        <v>105.542</v>
      </c>
    </row>
    <row r="11" spans="1:7" x14ac:dyDescent="0.25">
      <c r="A11">
        <v>1</v>
      </c>
      <c r="B11">
        <v>2</v>
      </c>
      <c r="C11">
        <v>3</v>
      </c>
      <c r="D11">
        <v>4</v>
      </c>
      <c r="E11">
        <v>5</v>
      </c>
      <c r="F11">
        <v>6</v>
      </c>
      <c r="G11">
        <v>7</v>
      </c>
    </row>
    <row r="12" spans="1:7" ht="78" customHeight="1" x14ac:dyDescent="0.35">
      <c r="A12" t="s">
        <v>0</v>
      </c>
      <c r="B12" s="9" t="s">
        <v>11</v>
      </c>
      <c r="C12" s="9" t="s">
        <v>15</v>
      </c>
      <c r="D12" s="9" t="s">
        <v>8</v>
      </c>
      <c r="E12" s="9" t="s">
        <v>12</v>
      </c>
      <c r="F12" s="9" t="s">
        <v>13</v>
      </c>
      <c r="G12" s="9" t="s">
        <v>14</v>
      </c>
    </row>
    <row r="13" spans="1:7" x14ac:dyDescent="0.25">
      <c r="A13" s="1">
        <f>B5</f>
        <v>44277</v>
      </c>
      <c r="B13" s="8">
        <f>-B9</f>
        <v>-105.542</v>
      </c>
      <c r="C13">
        <f>(A13-$A$13)</f>
        <v>0</v>
      </c>
      <c r="D13" s="10">
        <f>1/((1+$B$7)^(C13/$B$6))</f>
        <v>1</v>
      </c>
      <c r="E13" s="3">
        <f>B13*D13</f>
        <v>-105.542</v>
      </c>
    </row>
    <row r="14" spans="1:7" x14ac:dyDescent="0.25">
      <c r="A14" s="1">
        <v>44306</v>
      </c>
      <c r="B14" s="8">
        <v>4.2130000000000001</v>
      </c>
      <c r="C14">
        <f>(A14-$A$13)</f>
        <v>29</v>
      </c>
      <c r="D14" s="10">
        <f t="shared" ref="D14:D16" si="0">1/((1+$B$7)^(C14/$B$6))</f>
        <v>0.99494067196531977</v>
      </c>
      <c r="E14" s="3">
        <f>B14*D14</f>
        <v>4.191685050989892</v>
      </c>
      <c r="F14">
        <f>E14/$B$9</f>
        <v>3.9715800828010572E-2</v>
      </c>
      <c r="G14">
        <f>F14*C14</f>
        <v>1.1517582240123065</v>
      </c>
    </row>
    <row r="15" spans="1:7" x14ac:dyDescent="0.25">
      <c r="A15" s="1">
        <v>44488</v>
      </c>
      <c r="B15" s="8">
        <v>4.2130000000000001</v>
      </c>
      <c r="C15">
        <f>(A15-$A$13)</f>
        <v>211</v>
      </c>
      <c r="D15" s="10">
        <f t="shared" si="0"/>
        <v>0.96376825985392744</v>
      </c>
      <c r="E15" s="3">
        <f>B15*D15</f>
        <v>4.060355678764596</v>
      </c>
      <c r="F15">
        <f t="shared" ref="F15:F16" si="1">E15/$B$9</f>
        <v>3.8471468029453636E-2</v>
      </c>
      <c r="G15">
        <f>F15*C15</f>
        <v>8.1174797542147168</v>
      </c>
    </row>
    <row r="16" spans="1:7" x14ac:dyDescent="0.25">
      <c r="A16" s="1">
        <v>44670</v>
      </c>
      <c r="B16" s="8">
        <v>104.21299999999999</v>
      </c>
      <c r="C16">
        <f t="shared" ref="C16" si="2">(A16-$A$13)</f>
        <v>393</v>
      </c>
      <c r="D16" s="10">
        <f t="shared" si="0"/>
        <v>0.93357250826534122</v>
      </c>
      <c r="E16" s="3">
        <f>B16*D16</f>
        <v>97.290391803855996</v>
      </c>
      <c r="F16">
        <f t="shared" si="1"/>
        <v>0.92181682935566878</v>
      </c>
      <c r="G16">
        <f>F16*C16</f>
        <v>362.27401393677781</v>
      </c>
    </row>
    <row r="17" spans="1:15" ht="18.75" x14ac:dyDescent="0.3">
      <c r="A17" s="11"/>
      <c r="B17" s="11"/>
      <c r="C17" s="11"/>
      <c r="D17" s="11"/>
      <c r="E17" s="12">
        <f>SUM(E13:E16)</f>
        <v>4.3253361047845829E-4</v>
      </c>
      <c r="F17" s="13">
        <f>SUM(F14:F16)</f>
        <v>1.0000040982131331</v>
      </c>
      <c r="G17" s="15">
        <f>SUM(G13:G16)</f>
        <v>371.54325191500482</v>
      </c>
      <c r="H17" s="14">
        <f>DURATION(B5,A16,8.45%,B7,2)*B6</f>
        <v>370.78354896078559</v>
      </c>
    </row>
    <row r="20" spans="1:15" x14ac:dyDescent="0.25">
      <c r="A20" t="s">
        <v>33</v>
      </c>
    </row>
    <row r="22" spans="1:15" x14ac:dyDescent="0.25">
      <c r="A22" t="s">
        <v>34</v>
      </c>
      <c r="N22" s="2"/>
    </row>
    <row r="23" spans="1:15" x14ac:dyDescent="0.25">
      <c r="A23" t="s">
        <v>35</v>
      </c>
    </row>
    <row r="24" spans="1:15" x14ac:dyDescent="0.25">
      <c r="A24" t="s">
        <v>68</v>
      </c>
      <c r="B24" s="3"/>
      <c r="C24" s="3"/>
      <c r="D24" s="3"/>
      <c r="F24" s="3"/>
      <c r="N24" s="3"/>
      <c r="O24" s="3"/>
    </row>
    <row r="25" spans="1:15" x14ac:dyDescent="0.25">
      <c r="A25" t="s">
        <v>36</v>
      </c>
      <c r="B25" s="3"/>
      <c r="C25" s="3"/>
      <c r="D25" s="3"/>
      <c r="N25" s="3"/>
      <c r="O25" s="3"/>
    </row>
    <row r="26" spans="1:15" x14ac:dyDescent="0.25">
      <c r="B26" s="3"/>
      <c r="F26" s="3"/>
      <c r="N26" s="3"/>
      <c r="O26" s="3"/>
    </row>
    <row r="27" spans="1:15" x14ac:dyDescent="0.25">
      <c r="N27" s="3"/>
      <c r="O27" s="3"/>
    </row>
    <row r="28" spans="1:15" x14ac:dyDescent="0.25">
      <c r="A28" t="s">
        <v>69</v>
      </c>
      <c r="F28" s="3"/>
      <c r="N28" s="3"/>
      <c r="O28" s="3"/>
    </row>
    <row r="29" spans="1:15" x14ac:dyDescent="0.25">
      <c r="N29" s="3"/>
      <c r="O29" s="3"/>
    </row>
    <row r="30" spans="1:15" x14ac:dyDescent="0.25">
      <c r="A30" t="s">
        <v>40</v>
      </c>
      <c r="N30" s="3"/>
      <c r="O30" s="3"/>
    </row>
    <row r="31" spans="1:15" x14ac:dyDescent="0.25">
      <c r="A31" t="s">
        <v>41</v>
      </c>
      <c r="N31" s="3"/>
      <c r="O31" s="3"/>
    </row>
    <row r="32" spans="1:15" x14ac:dyDescent="0.25">
      <c r="N32" s="3"/>
      <c r="O32" s="3"/>
    </row>
    <row r="33" spans="14:15" x14ac:dyDescent="0.25">
      <c r="N33" s="3"/>
      <c r="O33" s="3"/>
    </row>
    <row r="34" spans="14:15" x14ac:dyDescent="0.25">
      <c r="N34" s="3"/>
      <c r="O34" s="3"/>
    </row>
    <row r="35" spans="14:15" x14ac:dyDescent="0.25">
      <c r="N35" s="3"/>
      <c r="O35" s="3"/>
    </row>
    <row r="36" spans="14:15" x14ac:dyDescent="0.25">
      <c r="O36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"/>
  <sheetViews>
    <sheetView zoomScale="60" zoomScaleNormal="60" workbookViewId="0"/>
  </sheetViews>
  <sheetFormatPr defaultRowHeight="15" outlineLevelCol="1" x14ac:dyDescent="0.25"/>
  <cols>
    <col min="1" max="1" width="28.42578125" customWidth="1"/>
    <col min="2" max="2" width="48.28515625" customWidth="1"/>
    <col min="3" max="4" width="14.28515625" customWidth="1"/>
    <col min="5" max="5" width="14.140625" customWidth="1"/>
    <col min="6" max="6" width="21.140625" customWidth="1"/>
    <col min="7" max="7" width="22.5703125" customWidth="1"/>
    <col min="8" max="8" width="15" customWidth="1"/>
    <col min="9" max="9" width="16.42578125" customWidth="1"/>
    <col min="10" max="10" width="10.85546875" bestFit="1" customWidth="1"/>
    <col min="11" max="11" width="6.28515625" bestFit="1" customWidth="1" outlineLevel="1"/>
    <col min="12" max="12" width="4.140625" bestFit="1" customWidth="1" outlineLevel="1"/>
    <col min="13" max="13" width="13.42578125" customWidth="1" outlineLevel="1"/>
    <col min="14" max="14" width="14.7109375" bestFit="1" customWidth="1" outlineLevel="1"/>
    <col min="16" max="16" width="11.28515625" bestFit="1" customWidth="1"/>
    <col min="18" max="18" width="14" bestFit="1" customWidth="1"/>
    <col min="19" max="19" width="8.42578125" bestFit="1" customWidth="1"/>
    <col min="21" max="21" width="15.7109375" bestFit="1" customWidth="1"/>
    <col min="22" max="22" width="9.85546875" customWidth="1"/>
    <col min="24" max="24" width="23" bestFit="1" customWidth="1"/>
    <col min="25" max="25" width="7" bestFit="1" customWidth="1"/>
  </cols>
  <sheetData>
    <row r="1" spans="1:25" x14ac:dyDescent="0.25">
      <c r="A1" s="7" t="s">
        <v>26</v>
      </c>
    </row>
    <row r="2" spans="1:25" s="9" customFormat="1" ht="45" x14ac:dyDescent="0.25">
      <c r="A2" s="18" t="s">
        <v>0</v>
      </c>
      <c r="B2" s="19" t="s">
        <v>16</v>
      </c>
      <c r="C2" s="20" t="s">
        <v>18</v>
      </c>
      <c r="D2" s="18" t="s">
        <v>17</v>
      </c>
      <c r="E2" s="18" t="s">
        <v>32</v>
      </c>
      <c r="F2" s="18" t="s">
        <v>20</v>
      </c>
      <c r="G2" s="21" t="s">
        <v>29</v>
      </c>
      <c r="H2" s="18" t="s">
        <v>28</v>
      </c>
      <c r="I2" s="18" t="s">
        <v>27</v>
      </c>
    </row>
    <row r="3" spans="1:25" x14ac:dyDescent="0.25">
      <c r="A3" s="22">
        <v>43830</v>
      </c>
      <c r="B3" s="23" t="s">
        <v>21</v>
      </c>
      <c r="C3" s="24">
        <v>10</v>
      </c>
      <c r="D3" s="25">
        <v>55</v>
      </c>
      <c r="E3" s="25">
        <f>C3*D3</f>
        <v>550</v>
      </c>
      <c r="F3" s="25">
        <f>$A$12-A3</f>
        <v>182</v>
      </c>
      <c r="G3" s="26">
        <f>F3/$F$3</f>
        <v>1</v>
      </c>
      <c r="H3" s="25">
        <f>E3</f>
        <v>550</v>
      </c>
      <c r="I3" s="27">
        <f>G3*H3</f>
        <v>550</v>
      </c>
    </row>
    <row r="4" spans="1:25" x14ac:dyDescent="0.25">
      <c r="A4" s="17" t="s">
        <v>22</v>
      </c>
      <c r="B4" s="17" t="s">
        <v>22</v>
      </c>
      <c r="C4" s="28"/>
      <c r="D4" s="16"/>
      <c r="E4" s="16"/>
      <c r="F4" s="16"/>
      <c r="G4" s="16"/>
      <c r="H4" s="16"/>
      <c r="I4" s="29"/>
    </row>
    <row r="5" spans="1:25" x14ac:dyDescent="0.25">
      <c r="A5" s="17"/>
      <c r="B5" s="17" t="s">
        <v>23</v>
      </c>
      <c r="C5" s="28"/>
      <c r="D5" s="16"/>
      <c r="E5" s="16"/>
      <c r="F5" s="16"/>
      <c r="G5" s="16"/>
      <c r="H5" s="16"/>
      <c r="I5" s="29"/>
    </row>
    <row r="6" spans="1:25" x14ac:dyDescent="0.25">
      <c r="A6" s="17" t="s">
        <v>22</v>
      </c>
      <c r="B6" s="17" t="s">
        <v>22</v>
      </c>
      <c r="C6" s="28"/>
      <c r="D6" s="16"/>
      <c r="E6" s="16"/>
      <c r="F6" s="16"/>
      <c r="G6" s="16"/>
      <c r="H6" s="16"/>
      <c r="I6" s="29"/>
    </row>
    <row r="7" spans="1:25" x14ac:dyDescent="0.25">
      <c r="A7" s="30">
        <v>44008</v>
      </c>
      <c r="B7" s="17" t="s">
        <v>24</v>
      </c>
      <c r="C7" s="31">
        <v>2</v>
      </c>
      <c r="D7" s="32">
        <v>59</v>
      </c>
      <c r="E7" s="32">
        <f t="shared" ref="E7:E8" si="0">C7*D7</f>
        <v>118</v>
      </c>
      <c r="F7" s="32">
        <f>$A$12-A7</f>
        <v>4</v>
      </c>
      <c r="G7" s="33">
        <f t="shared" ref="G7:G8" si="1">F7/$F$3</f>
        <v>2.197802197802198E-2</v>
      </c>
      <c r="H7" s="45">
        <f>-E7</f>
        <v>-118</v>
      </c>
      <c r="I7" s="34">
        <f>G7*H7</f>
        <v>-2.5934065934065935</v>
      </c>
    </row>
    <row r="8" spans="1:25" x14ac:dyDescent="0.25">
      <c r="A8" s="30">
        <v>44009</v>
      </c>
      <c r="B8" s="17" t="s">
        <v>25</v>
      </c>
      <c r="C8" s="31">
        <v>2</v>
      </c>
      <c r="D8" s="32">
        <v>50</v>
      </c>
      <c r="E8" s="32">
        <f t="shared" si="0"/>
        <v>100</v>
      </c>
      <c r="F8" s="32">
        <f>$A$12-A8</f>
        <v>3</v>
      </c>
      <c r="G8" s="33">
        <f t="shared" si="1"/>
        <v>1.6483516483516484E-2</v>
      </c>
      <c r="H8" s="45">
        <f>E8</f>
        <v>100</v>
      </c>
      <c r="I8" s="34">
        <f>G8*H8</f>
        <v>1.6483516483516485</v>
      </c>
    </row>
    <row r="9" spans="1:25" x14ac:dyDescent="0.25">
      <c r="A9" s="17" t="s">
        <v>22</v>
      </c>
      <c r="B9" s="17" t="s">
        <v>22</v>
      </c>
      <c r="C9" s="28"/>
      <c r="D9" s="16"/>
      <c r="E9" s="16"/>
      <c r="F9" s="16"/>
      <c r="G9" s="16"/>
      <c r="H9" s="16"/>
      <c r="I9" s="29"/>
    </row>
    <row r="10" spans="1:25" x14ac:dyDescent="0.25">
      <c r="A10" s="17"/>
      <c r="B10" s="17" t="s">
        <v>23</v>
      </c>
      <c r="C10" s="28"/>
      <c r="D10" s="16"/>
      <c r="E10" s="16"/>
      <c r="F10" s="16"/>
      <c r="G10" s="16"/>
      <c r="H10" s="16"/>
      <c r="I10" s="29"/>
    </row>
    <row r="11" spans="1:25" x14ac:dyDescent="0.25">
      <c r="A11" s="17" t="s">
        <v>22</v>
      </c>
      <c r="B11" s="17" t="s">
        <v>22</v>
      </c>
      <c r="C11" s="28"/>
      <c r="D11" s="16"/>
      <c r="E11" s="16"/>
      <c r="F11" s="16"/>
      <c r="G11" s="16"/>
      <c r="H11" s="16"/>
      <c r="I11" s="29"/>
    </row>
    <row r="12" spans="1:25" x14ac:dyDescent="0.25">
      <c r="A12" s="30">
        <v>44012</v>
      </c>
      <c r="B12" s="17" t="s">
        <v>24</v>
      </c>
      <c r="C12" s="31">
        <v>4</v>
      </c>
      <c r="D12" s="32">
        <v>62</v>
      </c>
      <c r="E12" s="32">
        <f>C12*D12</f>
        <v>248</v>
      </c>
      <c r="F12" s="32">
        <f>$A$12-A12</f>
        <v>0</v>
      </c>
      <c r="G12" s="33">
        <f>F12/$F$3</f>
        <v>0</v>
      </c>
      <c r="H12" s="45">
        <f>-E12</f>
        <v>-248</v>
      </c>
      <c r="I12" s="34">
        <f>G12*H12</f>
        <v>0</v>
      </c>
    </row>
    <row r="13" spans="1:25" x14ac:dyDescent="0.25">
      <c r="A13" s="22">
        <v>44012</v>
      </c>
      <c r="B13" s="23" t="s">
        <v>50</v>
      </c>
      <c r="C13" s="35">
        <f>C3-C7+C8-C12</f>
        <v>6</v>
      </c>
      <c r="D13" s="36">
        <v>65</v>
      </c>
      <c r="E13" s="36">
        <f>C13*D13</f>
        <v>390</v>
      </c>
      <c r="F13" s="36">
        <f>$A$12-A13</f>
        <v>0</v>
      </c>
      <c r="G13" s="37">
        <f>F13/$F$3</f>
        <v>0</v>
      </c>
      <c r="H13" s="36">
        <f>-E13</f>
        <v>-390</v>
      </c>
      <c r="I13" s="38">
        <f>G13*H13</f>
        <v>0</v>
      </c>
    </row>
    <row r="14" spans="1:25" ht="18.75" x14ac:dyDescent="0.3">
      <c r="H14" s="40" t="s">
        <v>72</v>
      </c>
      <c r="I14" s="39">
        <f>SUM(I3:I12)</f>
        <v>549.05494505494505</v>
      </c>
      <c r="O14" s="40" t="s">
        <v>51</v>
      </c>
      <c r="P14" s="39">
        <f>-SUM(H3:H13)</f>
        <v>106</v>
      </c>
      <c r="R14" s="40" t="s">
        <v>52</v>
      </c>
      <c r="S14" s="52">
        <f>P14/I14*365/182</f>
        <v>0.38717876871347368</v>
      </c>
      <c r="U14" s="40" t="s">
        <v>54</v>
      </c>
      <c r="V14" s="52">
        <f>I14/$I$74</f>
        <v>8.6218410540029843E-3</v>
      </c>
      <c r="X14" s="40" t="s">
        <v>55</v>
      </c>
      <c r="Y14" s="52">
        <f>S14*V14</f>
        <v>3.3381938033321536E-3</v>
      </c>
    </row>
    <row r="17" spans="1:25" x14ac:dyDescent="0.25">
      <c r="A17" s="7" t="s">
        <v>30</v>
      </c>
    </row>
    <row r="18" spans="1:25" ht="45" x14ac:dyDescent="0.25">
      <c r="A18" s="18" t="s">
        <v>0</v>
      </c>
      <c r="B18" s="19" t="s">
        <v>16</v>
      </c>
      <c r="C18" s="20" t="s">
        <v>18</v>
      </c>
      <c r="D18" s="18" t="s">
        <v>17</v>
      </c>
      <c r="E18" s="18" t="s">
        <v>39</v>
      </c>
      <c r="F18" s="18" t="s">
        <v>20</v>
      </c>
      <c r="G18" s="21" t="s">
        <v>29</v>
      </c>
      <c r="H18" s="18" t="s">
        <v>28</v>
      </c>
      <c r="I18" s="18" t="s">
        <v>27</v>
      </c>
    </row>
    <row r="19" spans="1:25" x14ac:dyDescent="0.25">
      <c r="A19" s="19">
        <v>43830</v>
      </c>
      <c r="B19" s="19" t="s">
        <v>21</v>
      </c>
      <c r="C19" s="24"/>
      <c r="D19" s="41"/>
      <c r="E19" s="27"/>
      <c r="F19" s="25">
        <f>$A$29-A19</f>
        <v>182</v>
      </c>
      <c r="G19" s="26"/>
      <c r="H19" s="50"/>
      <c r="I19" s="27">
        <v>0</v>
      </c>
    </row>
    <row r="20" spans="1:25" x14ac:dyDescent="0.25">
      <c r="A20" s="22">
        <v>43863</v>
      </c>
      <c r="B20" s="17" t="s">
        <v>25</v>
      </c>
      <c r="C20" s="24">
        <v>5</v>
      </c>
      <c r="D20" s="41">
        <v>1000</v>
      </c>
      <c r="E20" s="27">
        <f>C20*D20+5*N20</f>
        <v>5000.6849315068494</v>
      </c>
      <c r="F20" s="25">
        <f>$A$29-A20</f>
        <v>149</v>
      </c>
      <c r="G20" s="26">
        <f>F20/$F$19</f>
        <v>0.81868131868131866</v>
      </c>
      <c r="H20" s="44">
        <f>E20</f>
        <v>5000.6849315068494</v>
      </c>
      <c r="I20" s="27">
        <f>G20*H20</f>
        <v>4093.9673340358272</v>
      </c>
      <c r="K20">
        <v>1000</v>
      </c>
      <c r="L20" s="4">
        <v>0.05</v>
      </c>
      <c r="M20" s="53">
        <v>43862</v>
      </c>
      <c r="N20">
        <f>(A20-M20)*K20*L20/365</f>
        <v>0.13698630136986301</v>
      </c>
    </row>
    <row r="21" spans="1:25" x14ac:dyDescent="0.25">
      <c r="A21" s="17" t="s">
        <v>22</v>
      </c>
      <c r="B21" s="17" t="s">
        <v>22</v>
      </c>
      <c r="C21" s="28"/>
      <c r="D21" s="16"/>
      <c r="E21" s="48"/>
      <c r="F21" s="16"/>
      <c r="G21" s="16"/>
      <c r="H21" s="48"/>
      <c r="I21" s="29"/>
    </row>
    <row r="22" spans="1:25" x14ac:dyDescent="0.25">
      <c r="A22" s="17"/>
      <c r="B22" s="17" t="s">
        <v>23</v>
      </c>
      <c r="C22" s="28"/>
      <c r="D22" s="16"/>
      <c r="E22" s="48"/>
      <c r="F22" s="16"/>
      <c r="G22" s="16"/>
      <c r="H22" s="48"/>
      <c r="I22" s="29"/>
    </row>
    <row r="23" spans="1:25" x14ac:dyDescent="0.25">
      <c r="A23" s="17" t="s">
        <v>22</v>
      </c>
      <c r="B23" s="17" t="s">
        <v>22</v>
      </c>
      <c r="C23" s="28"/>
      <c r="D23" s="16"/>
      <c r="E23" s="48"/>
      <c r="F23" s="16"/>
      <c r="G23" s="16"/>
      <c r="H23" s="48"/>
      <c r="I23" s="29"/>
    </row>
    <row r="24" spans="1:25" x14ac:dyDescent="0.25">
      <c r="A24" s="30">
        <v>44008</v>
      </c>
      <c r="B24" s="17" t="s">
        <v>46</v>
      </c>
      <c r="C24" s="31"/>
      <c r="D24" s="27">
        <f>100+M24</f>
        <v>119.86301369863014</v>
      </c>
      <c r="E24" s="27">
        <f>D24*C20</f>
        <v>599.31506849315065</v>
      </c>
      <c r="F24" s="32">
        <f>$A$29-A24</f>
        <v>4</v>
      </c>
      <c r="G24" s="33">
        <f t="shared" ref="G24:G25" si="2">F24/$F$19</f>
        <v>2.197802197802198E-2</v>
      </c>
      <c r="H24" s="46">
        <f>-E24</f>
        <v>-599.31506849315065</v>
      </c>
      <c r="I24" s="34">
        <f>G24*H24</f>
        <v>-13.171759747102213</v>
      </c>
      <c r="M24">
        <f>(A24-A20)*N20</f>
        <v>19.863013698630137</v>
      </c>
    </row>
    <row r="25" spans="1:25" x14ac:dyDescent="0.25">
      <c r="A25" s="30">
        <v>44009</v>
      </c>
      <c r="B25" s="17" t="s">
        <v>25</v>
      </c>
      <c r="C25" s="31">
        <v>2</v>
      </c>
      <c r="D25" s="27">
        <f>900+N20</f>
        <v>900.13698630136992</v>
      </c>
      <c r="E25" s="27">
        <f>C25*D25</f>
        <v>1800.2739726027398</v>
      </c>
      <c r="F25" s="32">
        <f>$A$29-A25</f>
        <v>3</v>
      </c>
      <c r="G25" s="33">
        <f t="shared" si="2"/>
        <v>1.6483516483516484E-2</v>
      </c>
      <c r="H25" s="46">
        <f>E25</f>
        <v>1800.2739726027398</v>
      </c>
      <c r="I25" s="34">
        <f>G25*H25</f>
        <v>29.674845702242965</v>
      </c>
    </row>
    <row r="26" spans="1:25" x14ac:dyDescent="0.25">
      <c r="A26" s="17" t="s">
        <v>22</v>
      </c>
      <c r="B26" s="17" t="s">
        <v>22</v>
      </c>
      <c r="C26" s="28"/>
      <c r="D26" s="16"/>
      <c r="E26" s="48"/>
      <c r="F26" s="16"/>
      <c r="G26" s="16"/>
      <c r="H26" s="48"/>
      <c r="I26" s="29"/>
    </row>
    <row r="27" spans="1:25" x14ac:dyDescent="0.25">
      <c r="A27" s="17"/>
      <c r="B27" s="17" t="s">
        <v>23</v>
      </c>
      <c r="C27" s="28"/>
      <c r="D27" s="16"/>
      <c r="E27" s="48"/>
      <c r="F27" s="16"/>
      <c r="G27" s="16"/>
      <c r="H27" s="48"/>
      <c r="I27" s="29"/>
    </row>
    <row r="28" spans="1:25" x14ac:dyDescent="0.25">
      <c r="A28" s="17" t="s">
        <v>22</v>
      </c>
      <c r="B28" s="17" t="s">
        <v>22</v>
      </c>
      <c r="C28" s="28"/>
      <c r="D28" s="16"/>
      <c r="E28" s="48"/>
      <c r="F28" s="16"/>
      <c r="G28" s="16"/>
      <c r="H28" s="48"/>
      <c r="I28" s="29"/>
    </row>
    <row r="29" spans="1:25" x14ac:dyDescent="0.25">
      <c r="A29" s="30">
        <v>44012</v>
      </c>
      <c r="B29" s="17" t="s">
        <v>24</v>
      </c>
      <c r="C29" s="31">
        <v>4</v>
      </c>
      <c r="D29" s="43">
        <f>900+N20*(A29-A24)</f>
        <v>900.54794520547944</v>
      </c>
      <c r="E29" s="43">
        <f>C29*D29</f>
        <v>3602.1917808219177</v>
      </c>
      <c r="F29" s="32">
        <f>$A$29-A29</f>
        <v>0</v>
      </c>
      <c r="G29" s="33">
        <f>F29/$F$19</f>
        <v>0</v>
      </c>
      <c r="H29" s="47">
        <f>-E29</f>
        <v>-3602.1917808219177</v>
      </c>
      <c r="I29" s="34">
        <f>G29*H29</f>
        <v>0</v>
      </c>
    </row>
    <row r="30" spans="1:25" x14ac:dyDescent="0.25">
      <c r="A30" s="22">
        <v>44012</v>
      </c>
      <c r="B30" s="23" t="s">
        <v>50</v>
      </c>
      <c r="C30" s="35">
        <f>C20+C25-C29</f>
        <v>3</v>
      </c>
      <c r="D30" s="49">
        <f>901+N20*(A29-A24)</f>
        <v>901.54794520547944</v>
      </c>
      <c r="E30" s="49">
        <f>C30*D30</f>
        <v>2704.6438356164381</v>
      </c>
      <c r="F30" s="36">
        <f>$A$29-A30</f>
        <v>0</v>
      </c>
      <c r="G30" s="37">
        <f>F30/$F$19</f>
        <v>0</v>
      </c>
      <c r="H30" s="49">
        <f>-E30</f>
        <v>-2704.6438356164381</v>
      </c>
      <c r="I30" s="38">
        <f>G30*H30</f>
        <v>0</v>
      </c>
    </row>
    <row r="31" spans="1:25" ht="18.75" x14ac:dyDescent="0.3">
      <c r="H31" s="40" t="s">
        <v>72</v>
      </c>
      <c r="I31" s="39">
        <f>SUM(I20:I29)</f>
        <v>4110.4704199909684</v>
      </c>
      <c r="O31" s="40" t="s">
        <v>51</v>
      </c>
      <c r="P31" s="39">
        <f>-SUM(H19:H30)</f>
        <v>105.19178082191775</v>
      </c>
      <c r="R31" s="40" t="s">
        <v>52</v>
      </c>
      <c r="S31" s="52">
        <f>P31/I31*365/182</f>
        <v>5.1322967180481953E-2</v>
      </c>
      <c r="U31" s="40" t="s">
        <v>54</v>
      </c>
      <c r="V31" s="52">
        <f>I31/$I$74</f>
        <v>6.4546950970082756E-2</v>
      </c>
      <c r="X31" s="40" t="s">
        <v>55</v>
      </c>
      <c r="Y31" s="52">
        <f>S31*V31</f>
        <v>3.3127410462377351E-3</v>
      </c>
    </row>
    <row r="35" spans="1:9" x14ac:dyDescent="0.25">
      <c r="A35" s="7" t="s">
        <v>31</v>
      </c>
    </row>
    <row r="36" spans="1:9" ht="45" x14ac:dyDescent="0.25">
      <c r="A36" s="18" t="s">
        <v>0</v>
      </c>
      <c r="B36" s="19" t="s">
        <v>16</v>
      </c>
      <c r="C36" s="20" t="s">
        <v>18</v>
      </c>
      <c r="D36" s="18" t="s">
        <v>17</v>
      </c>
      <c r="E36" s="18" t="s">
        <v>19</v>
      </c>
      <c r="F36" s="18" t="s">
        <v>20</v>
      </c>
      <c r="G36" s="21" t="s">
        <v>29</v>
      </c>
      <c r="H36" s="18" t="s">
        <v>28</v>
      </c>
      <c r="I36" s="18" t="s">
        <v>27</v>
      </c>
    </row>
    <row r="37" spans="1:9" x14ac:dyDescent="0.25">
      <c r="A37" s="22">
        <v>43830</v>
      </c>
      <c r="B37" s="23" t="s">
        <v>21</v>
      </c>
      <c r="C37" s="24"/>
      <c r="D37" s="25"/>
      <c r="E37" s="42">
        <v>15000</v>
      </c>
      <c r="F37" s="25">
        <f>$A$48-A37</f>
        <v>182</v>
      </c>
      <c r="G37" s="26">
        <f>F37/$F$37</f>
        <v>1</v>
      </c>
      <c r="H37" s="25">
        <f>E37</f>
        <v>15000</v>
      </c>
      <c r="I37" s="27">
        <f>G37*H37</f>
        <v>15000</v>
      </c>
    </row>
    <row r="38" spans="1:9" x14ac:dyDescent="0.25">
      <c r="A38" s="22"/>
      <c r="B38" s="23"/>
      <c r="C38" s="24"/>
      <c r="D38" s="25"/>
      <c r="E38" s="42"/>
      <c r="F38" s="25"/>
      <c r="G38" s="26"/>
      <c r="H38" s="25"/>
      <c r="I38" s="27"/>
    </row>
    <row r="39" spans="1:9" x14ac:dyDescent="0.25">
      <c r="A39" s="22">
        <v>43863</v>
      </c>
      <c r="B39" s="23" t="s">
        <v>47</v>
      </c>
      <c r="C39" s="24"/>
      <c r="D39" s="25"/>
      <c r="E39" s="42">
        <f>E20</f>
        <v>5000.6849315068494</v>
      </c>
      <c r="F39" s="25">
        <f>$A$48-A39</f>
        <v>149</v>
      </c>
      <c r="G39" s="26">
        <f>F39/$F$37</f>
        <v>0.81868131868131866</v>
      </c>
      <c r="H39" s="44">
        <f>-E39</f>
        <v>-5000.6849315068494</v>
      </c>
      <c r="I39" s="27">
        <f>G39*H39</f>
        <v>-4093.9673340358272</v>
      </c>
    </row>
    <row r="40" spans="1:9" x14ac:dyDescent="0.25">
      <c r="A40" s="17" t="s">
        <v>22</v>
      </c>
      <c r="B40" s="17" t="s">
        <v>22</v>
      </c>
      <c r="C40" s="28"/>
      <c r="D40" s="16"/>
      <c r="E40" s="16"/>
      <c r="F40" s="16"/>
      <c r="G40" s="16"/>
      <c r="H40" s="16"/>
      <c r="I40" s="29"/>
    </row>
    <row r="41" spans="1:9" x14ac:dyDescent="0.25">
      <c r="A41" s="30">
        <v>43944</v>
      </c>
      <c r="B41" s="17" t="s">
        <v>49</v>
      </c>
      <c r="C41" s="24"/>
      <c r="D41" s="25"/>
      <c r="E41" s="42">
        <v>5000</v>
      </c>
      <c r="F41" s="25">
        <f>$A$48-A41</f>
        <v>68</v>
      </c>
      <c r="G41" s="26">
        <f>F41/$F$37</f>
        <v>0.37362637362637363</v>
      </c>
      <c r="H41" s="50">
        <f>-E41</f>
        <v>-5000</v>
      </c>
      <c r="I41" s="27">
        <f>G41*H41</f>
        <v>-1868.1318681318683</v>
      </c>
    </row>
    <row r="42" spans="1:9" x14ac:dyDescent="0.25">
      <c r="A42" s="17" t="s">
        <v>22</v>
      </c>
      <c r="B42" s="17" t="s">
        <v>22</v>
      </c>
      <c r="C42" s="28"/>
      <c r="D42" s="16"/>
      <c r="E42" s="16"/>
      <c r="F42" s="16"/>
      <c r="G42" s="16"/>
      <c r="H42" s="16"/>
      <c r="I42" s="29"/>
    </row>
    <row r="43" spans="1:9" ht="19.149999999999999" customHeight="1" x14ac:dyDescent="0.25">
      <c r="A43" s="30">
        <v>44008</v>
      </c>
      <c r="B43" s="17" t="s">
        <v>48</v>
      </c>
      <c r="C43" s="31"/>
      <c r="D43" s="32"/>
      <c r="E43" s="42">
        <f>E24+E7</f>
        <v>717.31506849315065</v>
      </c>
      <c r="F43" s="32">
        <f>$A$48-A43</f>
        <v>4</v>
      </c>
      <c r="G43" s="33">
        <f t="shared" ref="G43:G44" si="3">F43/$F$37</f>
        <v>2.197802197802198E-2</v>
      </c>
      <c r="H43" s="47">
        <f>E43</f>
        <v>717.31506849315065</v>
      </c>
      <c r="I43" s="34">
        <f>G43*H43</f>
        <v>15.765166340508806</v>
      </c>
    </row>
    <row r="44" spans="1:9" x14ac:dyDescent="0.25">
      <c r="A44" s="30">
        <v>44009</v>
      </c>
      <c r="B44" s="17" t="s">
        <v>25</v>
      </c>
      <c r="C44" s="31"/>
      <c r="D44" s="32"/>
      <c r="E44" s="43">
        <f>E25+E8</f>
        <v>1900.2739726027398</v>
      </c>
      <c r="F44" s="32">
        <f>$A$48-A44</f>
        <v>3</v>
      </c>
      <c r="G44" s="33">
        <f t="shared" si="3"/>
        <v>1.6483516483516484E-2</v>
      </c>
      <c r="H44" s="47">
        <f>-E44</f>
        <v>-1900.2739726027398</v>
      </c>
      <c r="I44" s="34">
        <f>G44*H44</f>
        <v>-31.323197350594615</v>
      </c>
    </row>
    <row r="45" spans="1:9" x14ac:dyDescent="0.25">
      <c r="A45" s="17" t="s">
        <v>22</v>
      </c>
      <c r="B45" s="17" t="s">
        <v>22</v>
      </c>
      <c r="C45" s="28"/>
      <c r="D45" s="16"/>
      <c r="E45" s="16"/>
      <c r="F45" s="16"/>
      <c r="G45" s="16"/>
      <c r="H45" s="16"/>
      <c r="I45" s="29"/>
    </row>
    <row r="46" spans="1:9" x14ac:dyDescent="0.25">
      <c r="A46" s="17"/>
      <c r="B46" s="17" t="s">
        <v>23</v>
      </c>
      <c r="C46" s="28"/>
      <c r="D46" s="16"/>
      <c r="E46" s="16"/>
      <c r="F46" s="16"/>
      <c r="G46" s="16"/>
      <c r="H46" s="16"/>
      <c r="I46" s="29"/>
    </row>
    <row r="47" spans="1:9" x14ac:dyDescent="0.25">
      <c r="A47" s="17" t="s">
        <v>22</v>
      </c>
      <c r="B47" s="17" t="s">
        <v>22</v>
      </c>
      <c r="C47" s="28"/>
      <c r="D47" s="16"/>
      <c r="E47" s="16"/>
      <c r="F47" s="16"/>
      <c r="G47" s="16"/>
      <c r="H47" s="16"/>
      <c r="I47" s="29"/>
    </row>
    <row r="48" spans="1:9" x14ac:dyDescent="0.25">
      <c r="A48" s="30">
        <v>44012</v>
      </c>
      <c r="B48" s="17" t="s">
        <v>53</v>
      </c>
      <c r="C48" s="31"/>
      <c r="D48" s="43"/>
      <c r="E48" s="43">
        <f>E29+E60+E12</f>
        <v>54847.452054794521</v>
      </c>
      <c r="F48" s="32">
        <f>$A$12-A48</f>
        <v>0</v>
      </c>
      <c r="G48" s="33">
        <f>F48/$F$37</f>
        <v>0</v>
      </c>
      <c r="H48" s="47">
        <f>E48</f>
        <v>54847.452054794521</v>
      </c>
      <c r="I48" s="34">
        <f>G48*H48</f>
        <v>0</v>
      </c>
    </row>
    <row r="49" spans="1:25" x14ac:dyDescent="0.25">
      <c r="A49" s="22">
        <v>44012</v>
      </c>
      <c r="B49" s="23" t="s">
        <v>50</v>
      </c>
      <c r="C49" s="35"/>
      <c r="D49" s="49"/>
      <c r="E49" s="49">
        <f>E37-E39-E41+E43-E44+E48</f>
        <v>58663.808219178085</v>
      </c>
      <c r="F49" s="36">
        <f>$A$29-A49</f>
        <v>0</v>
      </c>
      <c r="G49" s="37">
        <f>F49/$F$19</f>
        <v>0</v>
      </c>
      <c r="H49" s="49">
        <f>-E49</f>
        <v>-58663.808219178085</v>
      </c>
      <c r="I49" s="38">
        <f>G49*H49</f>
        <v>0</v>
      </c>
    </row>
    <row r="50" spans="1:25" ht="18.75" x14ac:dyDescent="0.3">
      <c r="H50" s="40" t="s">
        <v>72</v>
      </c>
      <c r="I50" s="39">
        <f>SUM(I37:I48)</f>
        <v>9022.3427668222175</v>
      </c>
      <c r="O50" s="40" t="s">
        <v>51</v>
      </c>
      <c r="P50" s="39">
        <f>-SUM(H37:H49)</f>
        <v>0</v>
      </c>
      <c r="R50" s="40" t="s">
        <v>52</v>
      </c>
      <c r="S50" s="52">
        <f>P50/I50*365/182</f>
        <v>0</v>
      </c>
      <c r="U50" s="40" t="s">
        <v>54</v>
      </c>
      <c r="V50" s="52">
        <f>I50/$I$74</f>
        <v>0.14167836201254894</v>
      </c>
      <c r="X50" s="40" t="s">
        <v>55</v>
      </c>
      <c r="Y50" s="52">
        <f>S50*V50</f>
        <v>0</v>
      </c>
    </row>
    <row r="54" spans="1:25" x14ac:dyDescent="0.25">
      <c r="A54" s="7" t="s">
        <v>37</v>
      </c>
      <c r="B54" t="s">
        <v>43</v>
      </c>
      <c r="C54" s="4">
        <v>0.04</v>
      </c>
      <c r="D54" s="3">
        <f>E56*C54/365*182</f>
        <v>997.2602739726027</v>
      </c>
    </row>
    <row r="55" spans="1:25" ht="45" x14ac:dyDescent="0.25">
      <c r="A55" s="18" t="s">
        <v>0</v>
      </c>
      <c r="B55" s="19" t="s">
        <v>16</v>
      </c>
      <c r="C55" s="20" t="s">
        <v>18</v>
      </c>
      <c r="D55" s="18" t="s">
        <v>17</v>
      </c>
      <c r="E55" s="18" t="s">
        <v>19</v>
      </c>
      <c r="F55" s="18" t="s">
        <v>20</v>
      </c>
      <c r="G55" s="21" t="s">
        <v>29</v>
      </c>
      <c r="H55" s="18" t="s">
        <v>28</v>
      </c>
      <c r="I55" s="18" t="s">
        <v>27</v>
      </c>
    </row>
    <row r="56" spans="1:25" x14ac:dyDescent="0.25">
      <c r="A56" s="22">
        <v>43830</v>
      </c>
      <c r="B56" s="23" t="s">
        <v>21</v>
      </c>
      <c r="C56" s="24"/>
      <c r="D56" s="25"/>
      <c r="E56" s="42">
        <v>50000</v>
      </c>
      <c r="F56" s="25">
        <f>$A$60-A56</f>
        <v>182</v>
      </c>
      <c r="G56" s="26">
        <f>F56/$F$56</f>
        <v>1</v>
      </c>
      <c r="H56" s="25">
        <f>E56</f>
        <v>50000</v>
      </c>
      <c r="I56" s="27">
        <f>G56*H56</f>
        <v>50000</v>
      </c>
    </row>
    <row r="57" spans="1:25" x14ac:dyDescent="0.25">
      <c r="A57" s="17" t="s">
        <v>22</v>
      </c>
      <c r="B57" s="17" t="s">
        <v>22</v>
      </c>
      <c r="C57" s="28"/>
      <c r="D57" s="16"/>
      <c r="E57" s="16"/>
      <c r="F57" s="16"/>
      <c r="G57" s="16"/>
      <c r="H57" s="16"/>
      <c r="I57" s="29"/>
    </row>
    <row r="58" spans="1:25" x14ac:dyDescent="0.25">
      <c r="A58" s="17"/>
      <c r="B58" s="17" t="s">
        <v>45</v>
      </c>
      <c r="C58" s="28"/>
      <c r="D58" s="16"/>
      <c r="E58" s="16"/>
      <c r="F58" s="16"/>
      <c r="G58" s="16"/>
      <c r="H58" s="16"/>
      <c r="I58" s="29"/>
    </row>
    <row r="59" spans="1:25" x14ac:dyDescent="0.25">
      <c r="A59" s="17" t="s">
        <v>22</v>
      </c>
      <c r="B59" s="17" t="s">
        <v>22</v>
      </c>
      <c r="C59" s="28"/>
      <c r="D59" s="16"/>
      <c r="E59" s="16"/>
      <c r="F59" s="16"/>
      <c r="G59" s="16"/>
      <c r="H59" s="16"/>
      <c r="I59" s="29"/>
    </row>
    <row r="60" spans="1:25" x14ac:dyDescent="0.25">
      <c r="A60" s="30">
        <v>44012</v>
      </c>
      <c r="B60" s="17" t="s">
        <v>42</v>
      </c>
      <c r="C60" s="31" t="s">
        <v>44</v>
      </c>
      <c r="D60" s="43" t="s">
        <v>44</v>
      </c>
      <c r="E60" s="43">
        <f>50000+D54</f>
        <v>50997.260273972606</v>
      </c>
      <c r="F60" s="32">
        <f>$A$12-A60</f>
        <v>0</v>
      </c>
      <c r="G60" s="33">
        <f>F60/$F$56</f>
        <v>0</v>
      </c>
      <c r="H60" s="47">
        <f>-E60</f>
        <v>-50997.260273972606</v>
      </c>
      <c r="I60" s="34">
        <f>G60*H60</f>
        <v>0</v>
      </c>
    </row>
    <row r="61" spans="1:25" x14ac:dyDescent="0.25">
      <c r="A61" s="22">
        <v>44012</v>
      </c>
      <c r="B61" s="23" t="s">
        <v>50</v>
      </c>
      <c r="C61" s="35"/>
      <c r="D61" s="49"/>
      <c r="E61" s="49">
        <v>0</v>
      </c>
      <c r="F61" s="36">
        <f>$A$61-A61</f>
        <v>0</v>
      </c>
      <c r="G61" s="37">
        <f>F61/$F$19</f>
        <v>0</v>
      </c>
      <c r="H61" s="49">
        <f>-E61</f>
        <v>0</v>
      </c>
      <c r="I61" s="38">
        <f>G61*H61</f>
        <v>0</v>
      </c>
    </row>
    <row r="62" spans="1:25" ht="18.75" x14ac:dyDescent="0.3">
      <c r="H62" s="40" t="s">
        <v>72</v>
      </c>
      <c r="I62" s="39">
        <f>SUM(I56:I60)</f>
        <v>50000</v>
      </c>
      <c r="O62" s="40" t="s">
        <v>51</v>
      </c>
      <c r="P62" s="39">
        <f>-SUM(H56:H60)</f>
        <v>997.26027397260623</v>
      </c>
      <c r="R62" s="40" t="s">
        <v>52</v>
      </c>
      <c r="S62" s="52">
        <f>P62/I62*365/182</f>
        <v>4.000000000000014E-2</v>
      </c>
      <c r="U62" s="40" t="s">
        <v>54</v>
      </c>
      <c r="V62" s="52">
        <f>I62/$I$74</f>
        <v>0.78515284596336521</v>
      </c>
      <c r="X62" s="40" t="s">
        <v>55</v>
      </c>
      <c r="Y62" s="52">
        <f>S62*V62</f>
        <v>3.140611383853472E-2</v>
      </c>
    </row>
    <row r="66" spans="1:25" x14ac:dyDescent="0.25">
      <c r="A66" s="7" t="s">
        <v>38</v>
      </c>
    </row>
    <row r="67" spans="1:25" ht="45" x14ac:dyDescent="0.25">
      <c r="A67" s="18" t="s">
        <v>0</v>
      </c>
      <c r="B67" s="19" t="s">
        <v>16</v>
      </c>
      <c r="C67" s="20" t="s">
        <v>18</v>
      </c>
      <c r="D67" s="18" t="s">
        <v>17</v>
      </c>
      <c r="E67" s="18" t="s">
        <v>19</v>
      </c>
      <c r="F67" s="18" t="s">
        <v>20</v>
      </c>
      <c r="G67" s="21" t="s">
        <v>29</v>
      </c>
      <c r="H67" s="18" t="s">
        <v>28</v>
      </c>
      <c r="I67" s="18" t="s">
        <v>27</v>
      </c>
    </row>
    <row r="68" spans="1:25" x14ac:dyDescent="0.25">
      <c r="A68" s="22">
        <v>43830</v>
      </c>
      <c r="B68" s="23" t="s">
        <v>21</v>
      </c>
      <c r="C68" s="24"/>
      <c r="D68" s="25"/>
      <c r="E68" s="42">
        <f>E56+E37+E19+E3</f>
        <v>65550</v>
      </c>
      <c r="F68" s="25">
        <f>$A$72-A68</f>
        <v>182</v>
      </c>
      <c r="G68" s="26">
        <f>F68/$F$68</f>
        <v>1</v>
      </c>
      <c r="H68" s="42">
        <f>E68</f>
        <v>65550</v>
      </c>
      <c r="I68" s="27">
        <f>G68*H68</f>
        <v>65550</v>
      </c>
    </row>
    <row r="69" spans="1:25" x14ac:dyDescent="0.25">
      <c r="A69" s="17" t="s">
        <v>22</v>
      </c>
      <c r="B69" s="17" t="s">
        <v>22</v>
      </c>
      <c r="C69" s="28"/>
      <c r="D69" s="16"/>
      <c r="E69" s="16"/>
      <c r="F69" s="16"/>
      <c r="G69" s="16"/>
      <c r="H69" s="16"/>
      <c r="I69" s="29"/>
    </row>
    <row r="70" spans="1:25" x14ac:dyDescent="0.25">
      <c r="A70" s="30">
        <v>43944</v>
      </c>
      <c r="B70" s="17" t="s">
        <v>49</v>
      </c>
      <c r="C70" s="24"/>
      <c r="D70" s="25"/>
      <c r="E70" s="42">
        <v>5000</v>
      </c>
      <c r="F70" s="25">
        <f>$A$72-A70</f>
        <v>68</v>
      </c>
      <c r="G70" s="26">
        <f>F70/$F$68</f>
        <v>0.37362637362637363</v>
      </c>
      <c r="H70" s="50">
        <f>-E70</f>
        <v>-5000</v>
      </c>
      <c r="I70" s="27">
        <f>G70*H70</f>
        <v>-1868.1318681318683</v>
      </c>
    </row>
    <row r="71" spans="1:25" x14ac:dyDescent="0.25">
      <c r="A71" s="17" t="s">
        <v>22</v>
      </c>
      <c r="B71" s="17" t="s">
        <v>22</v>
      </c>
      <c r="C71" s="28"/>
      <c r="D71" s="16"/>
      <c r="E71" s="16"/>
      <c r="F71" s="16"/>
      <c r="G71" s="16"/>
      <c r="H71" s="16"/>
      <c r="I71" s="29"/>
    </row>
    <row r="72" spans="1:25" x14ac:dyDescent="0.25">
      <c r="A72" s="30">
        <v>44012</v>
      </c>
      <c r="B72" s="17" t="s">
        <v>24</v>
      </c>
      <c r="C72" s="31"/>
      <c r="D72" s="43"/>
      <c r="E72" s="43">
        <f>C72*D72</f>
        <v>0</v>
      </c>
      <c r="F72" s="32">
        <f>$A$12-A72</f>
        <v>0</v>
      </c>
      <c r="G72" s="33">
        <f>F72/$F$68</f>
        <v>0</v>
      </c>
      <c r="H72" s="51">
        <f>-E72</f>
        <v>0</v>
      </c>
      <c r="I72" s="34">
        <f>G72*H72</f>
        <v>0</v>
      </c>
    </row>
    <row r="73" spans="1:25" x14ac:dyDescent="0.25">
      <c r="A73" s="22">
        <v>44012</v>
      </c>
      <c r="B73" s="23" t="s">
        <v>50</v>
      </c>
      <c r="C73" s="35"/>
      <c r="D73" s="49"/>
      <c r="E73" s="49">
        <f>E49+E30+E13+E61</f>
        <v>61758.452054794521</v>
      </c>
      <c r="F73" s="36">
        <f>$A$73-A73</f>
        <v>0</v>
      </c>
      <c r="G73" s="37">
        <f>F73/$F$68</f>
        <v>0</v>
      </c>
      <c r="H73" s="49">
        <f>-E73</f>
        <v>-61758.452054794521</v>
      </c>
      <c r="I73" s="38">
        <f>G73*H73</f>
        <v>0</v>
      </c>
    </row>
    <row r="74" spans="1:25" ht="18.75" x14ac:dyDescent="0.3">
      <c r="H74" s="40" t="s">
        <v>72</v>
      </c>
      <c r="I74" s="39">
        <f>SUM(I68:I72)</f>
        <v>63681.868131868134</v>
      </c>
      <c r="J74" s="3">
        <f>I62+I50+I31+I14</f>
        <v>63681.868131868127</v>
      </c>
      <c r="O74" s="40" t="s">
        <v>51</v>
      </c>
      <c r="P74" s="39">
        <f>-SUM(H68:H73)</f>
        <v>1208.4520547945212</v>
      </c>
      <c r="R74" s="40" t="s">
        <v>52</v>
      </c>
      <c r="S74" s="52">
        <f>P74/I74*365/182</f>
        <v>3.8057048688104521E-2</v>
      </c>
      <c r="U74" s="40" t="s">
        <v>54</v>
      </c>
      <c r="V74" s="52">
        <f>SUM(V62,V50,V31,V14)</f>
        <v>0.99999999999999989</v>
      </c>
      <c r="X74" s="40" t="s">
        <v>55</v>
      </c>
      <c r="Y74" s="52">
        <f>SUM(Y62,Y50,Y31,Y14)</f>
        <v>3.8057048688104611E-2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4"/>
  <sheetViews>
    <sheetView workbookViewId="0">
      <selection activeCell="K10" sqref="K10"/>
    </sheetView>
  </sheetViews>
  <sheetFormatPr defaultRowHeight="15" x14ac:dyDescent="0.25"/>
  <cols>
    <col min="1" max="1" width="12.5703125" customWidth="1"/>
    <col min="2" max="2" width="21.7109375" customWidth="1"/>
    <col min="3" max="3" width="22.85546875" bestFit="1" customWidth="1"/>
    <col min="4" max="4" width="31" bestFit="1" customWidth="1"/>
    <col min="5" max="5" width="15.42578125" bestFit="1" customWidth="1"/>
    <col min="6" max="6" width="14.28515625" bestFit="1" customWidth="1"/>
    <col min="8" max="8" width="19.140625" bestFit="1" customWidth="1"/>
    <col min="9" max="9" width="21.28515625" bestFit="1" customWidth="1"/>
    <col min="10" max="10" width="29.140625" bestFit="1" customWidth="1"/>
    <col min="11" max="11" width="12.42578125" customWidth="1"/>
    <col min="12" max="12" width="14.7109375" customWidth="1"/>
    <col min="13" max="13" width="25.28515625" customWidth="1"/>
  </cols>
  <sheetData>
    <row r="2" spans="1:13" x14ac:dyDescent="0.25">
      <c r="B2" t="s">
        <v>67</v>
      </c>
      <c r="H2" t="s">
        <v>66</v>
      </c>
    </row>
    <row r="3" spans="1:13" x14ac:dyDescent="0.25">
      <c r="B3" t="s">
        <v>56</v>
      </c>
      <c r="C3" t="s">
        <v>57</v>
      </c>
      <c r="D3" t="s">
        <v>58</v>
      </c>
      <c r="E3" t="s">
        <v>59</v>
      </c>
      <c r="F3" s="54" t="s">
        <v>70</v>
      </c>
      <c r="H3" t="s">
        <v>56</v>
      </c>
      <c r="I3" t="s">
        <v>57</v>
      </c>
      <c r="J3" t="s">
        <v>58</v>
      </c>
      <c r="K3" t="s">
        <v>52</v>
      </c>
      <c r="L3" t="s">
        <v>54</v>
      </c>
      <c r="M3" t="s">
        <v>55</v>
      </c>
    </row>
    <row r="4" spans="1:13" x14ac:dyDescent="0.25">
      <c r="A4" t="s">
        <v>60</v>
      </c>
      <c r="C4">
        <f>4*(65-55)+2*(65-50)</f>
        <v>70</v>
      </c>
      <c r="D4">
        <f>2*(59-55)+4*(62-55)</f>
        <v>36</v>
      </c>
      <c r="F4" s="54">
        <f>SUM(B4:E4)</f>
        <v>106</v>
      </c>
      <c r="H4" s="56">
        <v>0</v>
      </c>
      <c r="I4" s="56">
        <f>C4/СРВЗВ!I14*365/182</f>
        <v>0.25568409254663355</v>
      </c>
      <c r="J4" s="56">
        <f>D4/СРВЗВ!I14/182*365</f>
        <v>0.13149467616684013</v>
      </c>
      <c r="K4" s="58">
        <f>H4+I4+J4</f>
        <v>0.38717876871347368</v>
      </c>
      <c r="L4" s="59">
        <f>СРВЗВ!I14/СРВЗВ!I74</f>
        <v>8.6218410540029843E-3</v>
      </c>
      <c r="M4" s="60">
        <f>K4*L4</f>
        <v>3.3381938033321536E-3</v>
      </c>
    </row>
    <row r="5" spans="1:13" x14ac:dyDescent="0.25">
      <c r="A5" t="s">
        <v>61</v>
      </c>
      <c r="B5">
        <f>105.19-3</f>
        <v>102.19</v>
      </c>
      <c r="C5">
        <f>1*3</f>
        <v>3</v>
      </c>
      <c r="F5" s="54">
        <f t="shared" ref="F5:F7" si="0">SUM(B5:E5)</f>
        <v>105.19</v>
      </c>
      <c r="H5" s="56">
        <f>B5/СРВЗВ!$I$31/182*365</f>
        <v>4.9858401247644499E-2</v>
      </c>
      <c r="I5" s="56">
        <f>C5/СРВЗВ!$I$31/182*365</f>
        <v>1.4636970715621244E-3</v>
      </c>
      <c r="J5" s="56">
        <f>D5/СРВЗВ!$I$31/182*365</f>
        <v>0</v>
      </c>
      <c r="K5" s="58">
        <f>H5+I5+J5</f>
        <v>5.1322098319206623E-2</v>
      </c>
      <c r="L5" s="59">
        <f>СРВЗВ!I31/СРВЗВ!I74</f>
        <v>6.4546950970082756E-2</v>
      </c>
      <c r="M5" s="60">
        <f t="shared" ref="M5:M7" si="1">K5*L5</f>
        <v>3.3126849638915965E-3</v>
      </c>
    </row>
    <row r="6" spans="1:13" x14ac:dyDescent="0.25">
      <c r="A6" t="s">
        <v>62</v>
      </c>
      <c r="F6" s="54">
        <f t="shared" si="0"/>
        <v>0</v>
      </c>
      <c r="H6" s="56">
        <v>0</v>
      </c>
      <c r="I6" s="56">
        <v>0</v>
      </c>
      <c r="J6" s="56">
        <v>0</v>
      </c>
      <c r="K6" s="58">
        <f t="shared" ref="K6:K7" si="2">H6+I6+J6</f>
        <v>0</v>
      </c>
      <c r="L6" s="61">
        <f>СРВЗВ!I50/СРВЗВ!I74</f>
        <v>0.14167836201254894</v>
      </c>
      <c r="M6" s="60">
        <f t="shared" si="1"/>
        <v>0</v>
      </c>
    </row>
    <row r="7" spans="1:13" x14ac:dyDescent="0.25">
      <c r="A7" t="s">
        <v>63</v>
      </c>
      <c r="B7">
        <v>997.26</v>
      </c>
      <c r="F7" s="54">
        <f t="shared" si="0"/>
        <v>997.26</v>
      </c>
      <c r="H7" s="56">
        <f>B7/СРВЗВ!$I$62/182*365</f>
        <v>3.9999989010989008E-2</v>
      </c>
      <c r="I7" s="56">
        <f>C7/СРВЗВ!$I$62/182*365</f>
        <v>0</v>
      </c>
      <c r="J7" s="56">
        <f>D7/СРВЗВ!$I$62/182*365</f>
        <v>0</v>
      </c>
      <c r="K7" s="58">
        <f t="shared" si="2"/>
        <v>3.9999989010989008E-2</v>
      </c>
      <c r="L7" s="59">
        <f>СРВЗВ!I62/СРВЗВ!I74</f>
        <v>0.78515284596336521</v>
      </c>
      <c r="M7" s="60">
        <f t="shared" si="1"/>
        <v>3.1406105210481351E-2</v>
      </c>
    </row>
    <row r="8" spans="1:13" x14ac:dyDescent="0.25">
      <c r="A8" s="11" t="s">
        <v>71</v>
      </c>
      <c r="B8" s="11">
        <f>SUM(B4:B7)</f>
        <v>1099.45</v>
      </c>
      <c r="C8" s="11">
        <f t="shared" ref="C8:E8" si="3">SUM(C4:C7)</f>
        <v>73</v>
      </c>
      <c r="D8" s="11">
        <f t="shared" si="3"/>
        <v>36</v>
      </c>
      <c r="E8" s="11">
        <f t="shared" si="3"/>
        <v>0</v>
      </c>
      <c r="F8" s="55">
        <f>SUM(F4:F7)</f>
        <v>1208.45</v>
      </c>
      <c r="H8" s="57">
        <f>B8/СРВЗВ!$I$74/182*365</f>
        <v>3.462431299125978E-2</v>
      </c>
      <c r="I8" s="57">
        <f>C8/СРВЗВ!$I$74/182*365</f>
        <v>2.2989447890872381E-3</v>
      </c>
      <c r="J8" s="57">
        <f>D8/СРВЗВ!$I$74/182*365</f>
        <v>1.1337261973580902E-3</v>
      </c>
      <c r="K8" s="62">
        <f>H8+I8+J8</f>
        <v>3.8056983977705107E-2</v>
      </c>
      <c r="L8" s="63">
        <f>SUM(L4:L7)</f>
        <v>0.99999999999999989</v>
      </c>
      <c r="M8" s="64">
        <f>SUM(M4:M7)</f>
        <v>3.80569839777051E-2</v>
      </c>
    </row>
    <row r="13" spans="1:13" x14ac:dyDescent="0.25">
      <c r="A13" t="s">
        <v>64</v>
      </c>
    </row>
    <row r="14" spans="1:13" x14ac:dyDescent="0.25">
      <c r="A14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расчет дюрации</vt:lpstr>
      <vt:lpstr>СРВЗВ</vt:lpstr>
      <vt:lpstr>доходность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Ryzhikova</dc:creator>
  <cp:lastModifiedBy>Епишева Наталья Юрьевна</cp:lastModifiedBy>
  <dcterms:created xsi:type="dcterms:W3CDTF">2021-03-23T15:04:50Z</dcterms:created>
  <dcterms:modified xsi:type="dcterms:W3CDTF">2021-09-01T13:16:57Z</dcterms:modified>
</cp:coreProperties>
</file>